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Wire Guage Coils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<sst xmlns="http://schemas.openxmlformats.org/spreadsheetml/2006/main" count="57" uniqueCount="50">
  <si>
    <t>Spreadsheet to calculate</t>
  </si>
  <si>
    <t>current through coils of varying</t>
  </si>
  <si>
    <t>wire gauges.</t>
  </si>
  <si>
    <t>mm</t>
  </si>
  <si>
    <t>Only change values in blue</t>
  </si>
  <si>
    <t>Coil Depth d=</t>
  </si>
  <si>
    <t>Coil Width w=</t>
  </si>
  <si>
    <t>Resistance of Copper</t>
  </si>
  <si>
    <t>Ohms (cu.m)</t>
  </si>
  <si>
    <t>Turns</t>
  </si>
  <si>
    <t>area/4r^2</t>
  </si>
  <si>
    <t>Av. Radius</t>
  </si>
  <si>
    <t>i+d/2</t>
  </si>
  <si>
    <t>Av. Turn Len</t>
  </si>
  <si>
    <t>Applied Voltage</t>
  </si>
  <si>
    <t>V</t>
  </si>
  <si>
    <t>Aprox</t>
  </si>
  <si>
    <t>Av. Copper</t>
  </si>
  <si>
    <t>Av. Overall</t>
  </si>
  <si>
    <t>Area</t>
  </si>
  <si>
    <t>Res/Km</t>
  </si>
  <si>
    <t>Winding</t>
  </si>
  <si>
    <t>Resistance</t>
  </si>
  <si>
    <t>Current</t>
  </si>
  <si>
    <t>Power</t>
  </si>
  <si>
    <t>Amp Turns</t>
  </si>
  <si>
    <t>I Density</t>
  </si>
  <si>
    <t>SWG</t>
  </si>
  <si>
    <t>Dia. (mm)</t>
  </si>
  <si>
    <t>(sq mm)</t>
  </si>
  <si>
    <t>(Ohms)</t>
  </si>
  <si>
    <t>Length (m)</t>
  </si>
  <si>
    <t>(mA)</t>
  </si>
  <si>
    <t>(W)</t>
  </si>
  <si>
    <t>(A)</t>
  </si>
  <si>
    <t>MA/sq.m</t>
  </si>
  <si>
    <t>35/36</t>
  </si>
  <si>
    <t>34/35</t>
  </si>
  <si>
    <t>33</t>
  </si>
  <si>
    <t>30</t>
  </si>
  <si>
    <t>27</t>
  </si>
  <si>
    <t>25</t>
  </si>
  <si>
    <t>24</t>
  </si>
  <si>
    <t>22</t>
  </si>
  <si>
    <t>21</t>
  </si>
  <si>
    <t>19</t>
  </si>
  <si>
    <t>18</t>
  </si>
  <si>
    <t>16/17</t>
  </si>
  <si>
    <t>Internal radius (bobbin) i=</t>
  </si>
  <si>
    <t>Most Wire Gauge Data from RS Web Site (rswww.com) swg = standard wire guage (UK)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</si>
</sst>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E+0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23"/>
      <name val="Arial"/>
      <family val="0"/>
    </font>
    <font>
      <sz val="12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4</xdr:row>
      <xdr:rowOff>142875</xdr:rowOff>
    </xdr:from>
    <xdr:to>
      <xdr:col>10</xdr:col>
      <xdr:colOff>47625</xdr:colOff>
      <xdr:row>13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7305675" y="904875"/>
          <a:ext cx="1114425" cy="1666875"/>
        </a:xfrm>
        <a:prstGeom prst="can">
          <a:avLst>
            <a:gd name="adj" fmla="val -1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5</xdr:row>
      <xdr:rowOff>161925</xdr:rowOff>
    </xdr:from>
    <xdr:to>
      <xdr:col>9</xdr:col>
      <xdr:colOff>571500</xdr:colOff>
      <xdr:row>7</xdr:row>
      <xdr:rowOff>142875</xdr:rowOff>
    </xdr:to>
    <xdr:sp>
      <xdr:nvSpPr>
        <xdr:cNvPr id="2" name="Oval 3"/>
        <xdr:cNvSpPr>
          <a:spLocks noChangeAspect="1"/>
        </xdr:cNvSpPr>
      </xdr:nvSpPr>
      <xdr:spPr>
        <a:xfrm>
          <a:off x="7600950" y="1114425"/>
          <a:ext cx="51435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3</xdr:row>
      <xdr:rowOff>47625</xdr:rowOff>
    </xdr:from>
    <xdr:to>
      <xdr:col>8</xdr:col>
      <xdr:colOff>590550</xdr:colOff>
      <xdr:row>6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7305675" y="6191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</xdr:row>
      <xdr:rowOff>28575</xdr:rowOff>
    </xdr:from>
    <xdr:to>
      <xdr:col>9</xdr:col>
      <xdr:colOff>66675</xdr:colOff>
      <xdr:row>6</xdr:row>
      <xdr:rowOff>95250</xdr:rowOff>
    </xdr:to>
    <xdr:sp>
      <xdr:nvSpPr>
        <xdr:cNvPr id="4" name="Line 6"/>
        <xdr:cNvSpPr>
          <a:spLocks/>
        </xdr:cNvSpPr>
      </xdr:nvSpPr>
      <xdr:spPr>
        <a:xfrm flipV="1">
          <a:off x="7610475" y="6000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3</xdr:row>
      <xdr:rowOff>28575</xdr:rowOff>
    </xdr:from>
    <xdr:to>
      <xdr:col>9</xdr:col>
      <xdr:colOff>304800</xdr:colOff>
      <xdr:row>6</xdr:row>
      <xdr:rowOff>95250</xdr:rowOff>
    </xdr:to>
    <xdr:sp>
      <xdr:nvSpPr>
        <xdr:cNvPr id="5" name="Line 7"/>
        <xdr:cNvSpPr>
          <a:spLocks/>
        </xdr:cNvSpPr>
      </xdr:nvSpPr>
      <xdr:spPr>
        <a:xfrm flipV="1">
          <a:off x="7848600" y="6000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3</xdr:row>
      <xdr:rowOff>0</xdr:rowOff>
    </xdr:from>
    <xdr:to>
      <xdr:col>9</xdr:col>
      <xdr:colOff>266700</xdr:colOff>
      <xdr:row>4</xdr:row>
      <xdr:rowOff>38100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7686675" y="571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8</xdr:col>
      <xdr:colOff>638175</xdr:colOff>
      <xdr:row>2</xdr:row>
      <xdr:rowOff>171450</xdr:rowOff>
    </xdr:from>
    <xdr:to>
      <xdr:col>9</xdr:col>
      <xdr:colOff>9525</xdr:colOff>
      <xdr:row>4</xdr:row>
      <xdr:rowOff>19050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7353300" y="5524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8</xdr:col>
      <xdr:colOff>238125</xdr:colOff>
      <xdr:row>8</xdr:row>
      <xdr:rowOff>28575</xdr:rowOff>
    </xdr:from>
    <xdr:to>
      <xdr:col>8</xdr:col>
      <xdr:colOff>428625</xdr:colOff>
      <xdr:row>9</xdr:row>
      <xdr:rowOff>76200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6953250" y="15525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</a:t>
          </a:r>
        </a:p>
      </xdr:txBody>
    </xdr:sp>
    <xdr:clientData/>
  </xdr:twoCellAnchor>
  <xdr:twoCellAnchor>
    <xdr:from>
      <xdr:col>8</xdr:col>
      <xdr:colOff>57150</xdr:colOff>
      <xdr:row>6</xdr:row>
      <xdr:rowOff>152400</xdr:rowOff>
    </xdr:from>
    <xdr:to>
      <xdr:col>8</xdr:col>
      <xdr:colOff>533400</xdr:colOff>
      <xdr:row>6</xdr:row>
      <xdr:rowOff>152400</xdr:rowOff>
    </xdr:to>
    <xdr:sp>
      <xdr:nvSpPr>
        <xdr:cNvPr id="9" name="Line 11"/>
        <xdr:cNvSpPr>
          <a:spLocks/>
        </xdr:cNvSpPr>
      </xdr:nvSpPr>
      <xdr:spPr>
        <a:xfrm flipH="1">
          <a:off x="6772275" y="1295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104775</xdr:rowOff>
    </xdr:from>
    <xdr:to>
      <xdr:col>8</xdr:col>
      <xdr:colOff>533400</xdr:colOff>
      <xdr:row>11</xdr:row>
      <xdr:rowOff>104775</xdr:rowOff>
    </xdr:to>
    <xdr:sp>
      <xdr:nvSpPr>
        <xdr:cNvPr id="10" name="Line 12"/>
        <xdr:cNvSpPr>
          <a:spLocks/>
        </xdr:cNvSpPr>
      </xdr:nvSpPr>
      <xdr:spPr>
        <a:xfrm flipH="1">
          <a:off x="6772275" y="2200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showOutlineSymbols="0" zoomScale="87" zoomScaleNormal="87" workbookViewId="0" topLeftCell="A1">
      <selection activeCell="C12" sqref="C12"/>
    </sheetView>
  </sheetViews>
  <sheetFormatPr defaultColWidth="8.88671875" defaultRowHeight="15"/>
  <cols>
    <col min="1" max="5" width="9.6640625" style="0" customWidth="1"/>
    <col min="6" max="6" width="10.6640625" style="0" customWidth="1"/>
    <col min="7" max="16384" width="9.6640625" style="0" customWidth="1"/>
  </cols>
  <sheetData>
    <row r="1" ht="15">
      <c r="A1" s="3" t="s">
        <v>0</v>
      </c>
    </row>
    <row r="2" ht="15">
      <c r="A2" t="s">
        <v>1</v>
      </c>
    </row>
    <row r="3" spans="1:7" ht="15">
      <c r="A3" t="s">
        <v>2</v>
      </c>
      <c r="D3" s="3" t="s">
        <v>48</v>
      </c>
      <c r="F3" s="5">
        <v>25</v>
      </c>
      <c r="G3" t="s">
        <v>3</v>
      </c>
    </row>
    <row r="4" spans="1:7" ht="15">
      <c r="A4" t="s">
        <v>4</v>
      </c>
      <c r="D4" s="3" t="s">
        <v>5</v>
      </c>
      <c r="F4" s="5">
        <v>25</v>
      </c>
      <c r="G4" t="s">
        <v>3</v>
      </c>
    </row>
    <row r="5" spans="4:7" ht="15">
      <c r="D5" s="3" t="s">
        <v>6</v>
      </c>
      <c r="F5" s="5">
        <v>50</v>
      </c>
      <c r="G5" t="s">
        <v>3</v>
      </c>
    </row>
    <row r="6" spans="4:7" ht="15">
      <c r="D6" s="3" t="s">
        <v>7</v>
      </c>
      <c r="F6" s="11">
        <v>1.776E-08</v>
      </c>
      <c r="G6" s="3" t="s">
        <v>8</v>
      </c>
    </row>
    <row r="7" spans="1:2" ht="15">
      <c r="A7" t="s">
        <v>9</v>
      </c>
      <c r="B7" s="3" t="s">
        <v>10</v>
      </c>
    </row>
    <row r="8" spans="1:4" ht="15">
      <c r="A8" t="s">
        <v>11</v>
      </c>
      <c r="B8" t="s">
        <v>12</v>
      </c>
      <c r="C8" s="4">
        <f>$F3+$F4/2</f>
        <v>37.5</v>
      </c>
      <c r="D8" t="s">
        <v>3</v>
      </c>
    </row>
    <row r="9" spans="1:4" ht="15">
      <c r="A9" s="3" t="s">
        <v>13</v>
      </c>
      <c r="C9">
        <f>$C8*2*PI()</f>
        <v>235.61944901923448</v>
      </c>
      <c r="D9" t="s">
        <v>3</v>
      </c>
    </row>
    <row r="10" spans="1:4" ht="15">
      <c r="A10" t="s">
        <v>14</v>
      </c>
      <c r="C10" s="5">
        <v>22</v>
      </c>
      <c r="D10" t="s">
        <v>15</v>
      </c>
    </row>
    <row r="17" ht="15">
      <c r="A17" s="1" t="s">
        <v>49</v>
      </c>
    </row>
    <row r="19" spans="1:12" ht="15">
      <c r="A19" t="s">
        <v>16</v>
      </c>
      <c r="B19" s="3" t="s">
        <v>17</v>
      </c>
      <c r="C19" s="3" t="s">
        <v>18</v>
      </c>
      <c r="D19" s="3" t="s">
        <v>19</v>
      </c>
      <c r="E19" s="3" t="s">
        <v>20</v>
      </c>
      <c r="F19" t="s">
        <v>9</v>
      </c>
      <c r="G19" t="s">
        <v>21</v>
      </c>
      <c r="H19" t="s">
        <v>22</v>
      </c>
      <c r="I19" t="s">
        <v>23</v>
      </c>
      <c r="J19" t="s">
        <v>24</v>
      </c>
      <c r="K19" t="s">
        <v>25</v>
      </c>
      <c r="L19" s="3" t="s">
        <v>26</v>
      </c>
    </row>
    <row r="20" spans="1:12" ht="15">
      <c r="A20" t="s">
        <v>27</v>
      </c>
      <c r="B20" t="s">
        <v>28</v>
      </c>
      <c r="C20" t="s">
        <v>28</v>
      </c>
      <c r="D20" s="3" t="s">
        <v>29</v>
      </c>
      <c r="E20" s="3" t="s">
        <v>30</v>
      </c>
      <c r="G20" s="3" t="s">
        <v>31</v>
      </c>
      <c r="H20" s="3" t="s">
        <v>30</v>
      </c>
      <c r="I20" s="3" t="s">
        <v>32</v>
      </c>
      <c r="J20" s="3" t="s">
        <v>33</v>
      </c>
      <c r="K20" s="3" t="s">
        <v>34</v>
      </c>
      <c r="L20" s="3" t="s">
        <v>35</v>
      </c>
    </row>
    <row r="21" spans="1:12" ht="15">
      <c r="A21" s="1" t="s">
        <v>36</v>
      </c>
      <c r="B21" s="7">
        <v>0.2</v>
      </c>
      <c r="C21" s="6">
        <v>0.233</v>
      </c>
      <c r="D21">
        <f aca="true" t="shared" si="0" ref="D21:D32">(+B21/2)^2*PI()</f>
        <v>0.031415926535897934</v>
      </c>
      <c r="E21" s="10">
        <f aca="true" t="shared" si="1" ref="E21:E32">1000*(10^6/D21)*$F$6</f>
        <v>565.3183578624122</v>
      </c>
      <c r="F21" s="8">
        <f aca="true" t="shared" si="2" ref="F21:F32">$F$4*$F$5/C21^2</f>
        <v>23024.922175763044</v>
      </c>
      <c r="G21" s="9">
        <f aca="true" t="shared" si="3" ref="G21:G32">F21*$C$9/1000</f>
        <v>5425.119476764042</v>
      </c>
      <c r="H21" s="10">
        <f aca="true" t="shared" si="4" ref="H21:H32">G21*E21/1000</f>
        <v>3066.9196338116367</v>
      </c>
      <c r="I21" s="9">
        <f aca="true" t="shared" si="5" ref="I21:I32">$C$10/H21*1000</f>
        <v>7.173321321321324</v>
      </c>
      <c r="J21" s="10">
        <f aca="true" t="shared" si="6" ref="J21:J32">$C$10*I21/1000</f>
        <v>0.1578130690690691</v>
      </c>
      <c r="K21" s="12">
        <f aca="true" t="shared" si="7" ref="K21:K32">I21/1000*F21</f>
        <v>165.1651651651652</v>
      </c>
      <c r="L21" s="13">
        <f aca="true" t="shared" si="8" ref="L21:L32">10^6/$F$4/$F$5*K21/10^6</f>
        <v>0.13213213213213215</v>
      </c>
    </row>
    <row r="22" spans="1:12" ht="15">
      <c r="A22" s="2" t="s">
        <v>37</v>
      </c>
      <c r="B22" s="7">
        <v>0.224</v>
      </c>
      <c r="C22" s="6">
        <v>0.2595</v>
      </c>
      <c r="D22">
        <f t="shared" si="0"/>
        <v>0.03940813824663037</v>
      </c>
      <c r="E22" s="10">
        <f t="shared" si="1"/>
        <v>450.66833375511175</v>
      </c>
      <c r="F22" s="8">
        <f t="shared" si="2"/>
        <v>18562.449649355323</v>
      </c>
      <c r="G22" s="9">
        <f t="shared" si="3"/>
        <v>4373.674158828383</v>
      </c>
      <c r="H22" s="10">
        <f t="shared" si="4"/>
        <v>1971.0764455469775</v>
      </c>
      <c r="I22" s="9">
        <f t="shared" si="5"/>
        <v>11.161413881081085</v>
      </c>
      <c r="J22" s="10">
        <f t="shared" si="6"/>
        <v>0.24555110538378386</v>
      </c>
      <c r="K22" s="12">
        <f t="shared" si="7"/>
        <v>207.18318318318322</v>
      </c>
      <c r="L22" s="13">
        <f t="shared" si="8"/>
        <v>0.16574654654654658</v>
      </c>
    </row>
    <row r="23" spans="1:12" ht="15">
      <c r="A23" s="2" t="s">
        <v>38</v>
      </c>
      <c r="B23" s="7">
        <v>0.25</v>
      </c>
      <c r="C23" s="6">
        <v>0.2895</v>
      </c>
      <c r="D23">
        <f t="shared" si="0"/>
        <v>0.04908738521234052</v>
      </c>
      <c r="E23" s="10">
        <f t="shared" si="1"/>
        <v>361.8037490319439</v>
      </c>
      <c r="F23" s="8">
        <f t="shared" si="2"/>
        <v>14914.643495276534</v>
      </c>
      <c r="G23" s="9">
        <f t="shared" si="3"/>
        <v>3514.1800826753665</v>
      </c>
      <c r="H23" s="10">
        <f t="shared" si="4"/>
        <v>1271.443528685334</v>
      </c>
      <c r="I23" s="9">
        <f t="shared" si="5"/>
        <v>17.303167229729727</v>
      </c>
      <c r="J23" s="10">
        <f t="shared" si="6"/>
        <v>0.38066967905405397</v>
      </c>
      <c r="K23" s="12">
        <f t="shared" si="7"/>
        <v>258.07057057057057</v>
      </c>
      <c r="L23" s="13">
        <f t="shared" si="8"/>
        <v>0.20645645645645644</v>
      </c>
    </row>
    <row r="24" spans="1:12" ht="15">
      <c r="A24" s="2" t="s">
        <v>39</v>
      </c>
      <c r="B24" s="7">
        <v>0.315</v>
      </c>
      <c r="C24" s="7">
        <v>0.3585</v>
      </c>
      <c r="D24">
        <f t="shared" si="0"/>
        <v>0.07793113276311181</v>
      </c>
      <c r="E24" s="10">
        <f t="shared" si="1"/>
        <v>227.8935179087578</v>
      </c>
      <c r="F24" s="8">
        <f t="shared" si="2"/>
        <v>9725.942395188384</v>
      </c>
      <c r="G24" s="9">
        <f t="shared" si="3"/>
        <v>2291.6211883471005</v>
      </c>
      <c r="H24" s="10">
        <f t="shared" si="4"/>
        <v>522.2456143266688</v>
      </c>
      <c r="I24" s="9">
        <f t="shared" si="5"/>
        <v>42.12577261824323</v>
      </c>
      <c r="J24" s="10">
        <f t="shared" si="6"/>
        <v>0.9267669976013512</v>
      </c>
      <c r="K24" s="12">
        <f t="shared" si="7"/>
        <v>409.7128378378378</v>
      </c>
      <c r="L24" s="13">
        <f t="shared" si="8"/>
        <v>0.3277702702702702</v>
      </c>
    </row>
    <row r="25" spans="1:12" ht="15">
      <c r="A25" s="2" t="s">
        <v>40</v>
      </c>
      <c r="B25" s="7">
        <v>0.4</v>
      </c>
      <c r="C25" s="7">
        <v>0.4495</v>
      </c>
      <c r="D25">
        <f t="shared" si="0"/>
        <v>0.12566370614359174</v>
      </c>
      <c r="E25" s="10">
        <f t="shared" si="1"/>
        <v>141.32958946560305</v>
      </c>
      <c r="F25" s="8">
        <f t="shared" si="2"/>
        <v>6186.579823583489</v>
      </c>
      <c r="G25" s="9">
        <f t="shared" si="3"/>
        <v>1457.6785293462547</v>
      </c>
      <c r="H25" s="10">
        <f t="shared" si="4"/>
        <v>206.01310812533018</v>
      </c>
      <c r="I25" s="9">
        <f t="shared" si="5"/>
        <v>106.78932132132134</v>
      </c>
      <c r="J25" s="10">
        <f t="shared" si="6"/>
        <v>2.3493650690690693</v>
      </c>
      <c r="K25" s="12">
        <f t="shared" si="7"/>
        <v>660.6606606606607</v>
      </c>
      <c r="L25" s="13">
        <f t="shared" si="8"/>
        <v>0.5285285285285285</v>
      </c>
    </row>
    <row r="26" spans="1:12" ht="15">
      <c r="A26" s="2" t="s">
        <v>41</v>
      </c>
      <c r="B26" s="7">
        <v>0.5</v>
      </c>
      <c r="C26" s="7">
        <v>0.5555</v>
      </c>
      <c r="D26">
        <f t="shared" si="0"/>
        <v>0.19634954084936207</v>
      </c>
      <c r="E26" s="10">
        <f t="shared" si="1"/>
        <v>90.45093725798597</v>
      </c>
      <c r="F26" s="8">
        <f t="shared" si="2"/>
        <v>4050.810121516202</v>
      </c>
      <c r="G26" s="9">
        <f t="shared" si="3"/>
        <v>954.4496489131858</v>
      </c>
      <c r="H26" s="10">
        <f t="shared" si="4"/>
        <v>86.3308653097533</v>
      </c>
      <c r="I26" s="9">
        <f t="shared" si="5"/>
        <v>254.8335397897898</v>
      </c>
      <c r="J26" s="10">
        <f t="shared" si="6"/>
        <v>5.606337875375376</v>
      </c>
      <c r="K26" s="12">
        <f t="shared" si="7"/>
        <v>1032.2822822822823</v>
      </c>
      <c r="L26" s="13">
        <f t="shared" si="8"/>
        <v>0.8258258258258258</v>
      </c>
    </row>
    <row r="27" spans="1:12" ht="15">
      <c r="A27" s="2" t="s">
        <v>42</v>
      </c>
      <c r="B27" s="7">
        <v>0.56</v>
      </c>
      <c r="C27" s="7">
        <v>0.6185</v>
      </c>
      <c r="D27">
        <f t="shared" si="0"/>
        <v>0.2463008640414398</v>
      </c>
      <c r="E27" s="10">
        <f t="shared" si="1"/>
        <v>72.1069334008179</v>
      </c>
      <c r="F27" s="8">
        <f t="shared" si="2"/>
        <v>3267.6129238012263</v>
      </c>
      <c r="G27" s="9">
        <f t="shared" si="3"/>
        <v>769.9131567141748</v>
      </c>
      <c r="H27" s="10">
        <f t="shared" si="4"/>
        <v>55.516076715602466</v>
      </c>
      <c r="I27" s="9">
        <f t="shared" si="5"/>
        <v>396.28160528528537</v>
      </c>
      <c r="J27" s="10">
        <f t="shared" si="6"/>
        <v>8.718195316276278</v>
      </c>
      <c r="K27" s="12">
        <f t="shared" si="7"/>
        <v>1294.8948948948948</v>
      </c>
      <c r="L27" s="13">
        <f t="shared" si="8"/>
        <v>1.035915915915916</v>
      </c>
    </row>
    <row r="28" spans="1:12" ht="15">
      <c r="A28" s="2" t="s">
        <v>43</v>
      </c>
      <c r="B28" s="7">
        <v>0.71</v>
      </c>
      <c r="C28" s="7">
        <v>0.776</v>
      </c>
      <c r="D28">
        <f t="shared" si="0"/>
        <v>0.39591921416865367</v>
      </c>
      <c r="E28" s="10">
        <f t="shared" si="1"/>
        <v>44.8576360136808</v>
      </c>
      <c r="F28" s="8">
        <f t="shared" si="2"/>
        <v>2075.805080242321</v>
      </c>
      <c r="G28" s="9">
        <f t="shared" si="3"/>
        <v>489.1000492780235</v>
      </c>
      <c r="H28" s="10">
        <f t="shared" si="4"/>
        <v>21.939871984786922</v>
      </c>
      <c r="I28" s="9">
        <f t="shared" si="5"/>
        <v>1002.7405818618618</v>
      </c>
      <c r="J28" s="10">
        <f t="shared" si="6"/>
        <v>22.060292800960962</v>
      </c>
      <c r="K28" s="12">
        <f t="shared" si="7"/>
        <v>2081.4939939939936</v>
      </c>
      <c r="L28" s="13">
        <f t="shared" si="8"/>
        <v>1.6651951951951949</v>
      </c>
    </row>
    <row r="29" spans="1:12" ht="15">
      <c r="A29" s="2" t="s">
        <v>44</v>
      </c>
      <c r="B29" s="7">
        <v>0.8</v>
      </c>
      <c r="C29" s="7">
        <v>0.87</v>
      </c>
      <c r="D29">
        <f t="shared" si="0"/>
        <v>0.5026548245743669</v>
      </c>
      <c r="E29" s="10">
        <f t="shared" si="1"/>
        <v>35.33239736640076</v>
      </c>
      <c r="F29" s="8">
        <f t="shared" si="2"/>
        <v>1651.4731140177037</v>
      </c>
      <c r="G29" s="9">
        <f t="shared" si="3"/>
        <v>389.11918519493076</v>
      </c>
      <c r="H29" s="10">
        <f t="shared" si="4"/>
        <v>13.748513674197381</v>
      </c>
      <c r="I29" s="9">
        <f t="shared" si="5"/>
        <v>1600.1729729729732</v>
      </c>
      <c r="J29" s="10">
        <f t="shared" si="6"/>
        <v>35.20380540540541</v>
      </c>
      <c r="K29" s="12">
        <f t="shared" si="7"/>
        <v>2642.642642642643</v>
      </c>
      <c r="L29" s="13">
        <f t="shared" si="8"/>
        <v>2.114114114114114</v>
      </c>
    </row>
    <row r="30" spans="1:12" ht="15">
      <c r="A30" s="2" t="s">
        <v>45</v>
      </c>
      <c r="B30" s="7">
        <v>1</v>
      </c>
      <c r="C30" s="7">
        <v>1.0785</v>
      </c>
      <c r="D30">
        <f t="shared" si="0"/>
        <v>0.7853981633974483</v>
      </c>
      <c r="E30" s="10">
        <f t="shared" si="1"/>
        <v>22.612734314496493</v>
      </c>
      <c r="F30" s="8">
        <f t="shared" si="2"/>
        <v>1074.6566096002514</v>
      </c>
      <c r="G30" s="9">
        <f t="shared" si="3"/>
        <v>253.2099982388898</v>
      </c>
      <c r="H30" s="10">
        <f t="shared" si="4"/>
        <v>5.72577041595014</v>
      </c>
      <c r="I30" s="9">
        <f t="shared" si="5"/>
        <v>3842.2777027027023</v>
      </c>
      <c r="J30" s="10">
        <f t="shared" si="6"/>
        <v>84.53010945945945</v>
      </c>
      <c r="K30" s="12">
        <f t="shared" si="7"/>
        <v>4129.129129129129</v>
      </c>
      <c r="L30" s="13">
        <f t="shared" si="8"/>
        <v>3.303303303303303</v>
      </c>
    </row>
    <row r="31" spans="1:12" ht="15">
      <c r="A31" s="2" t="s">
        <v>46</v>
      </c>
      <c r="B31" s="7">
        <v>1.25</v>
      </c>
      <c r="C31" s="7">
        <v>1.333</v>
      </c>
      <c r="D31">
        <f t="shared" si="0"/>
        <v>1.227184630308513</v>
      </c>
      <c r="E31" s="10">
        <f t="shared" si="1"/>
        <v>14.472149961277752</v>
      </c>
      <c r="F31" s="8">
        <f t="shared" si="2"/>
        <v>703.4766943798966</v>
      </c>
      <c r="G31" s="9">
        <f t="shared" si="3"/>
        <v>165.75279112766364</v>
      </c>
      <c r="H31" s="10">
        <f t="shared" si="4"/>
        <v>2.3987992496998967</v>
      </c>
      <c r="I31" s="9">
        <f t="shared" si="5"/>
        <v>9171.255161411413</v>
      </c>
      <c r="J31" s="10">
        <f t="shared" si="6"/>
        <v>201.76761355105106</v>
      </c>
      <c r="K31" s="12">
        <f t="shared" si="7"/>
        <v>6451.764264264265</v>
      </c>
      <c r="L31" s="13">
        <f t="shared" si="8"/>
        <v>5.161411411411412</v>
      </c>
    </row>
    <row r="32" spans="1:12" ht="15">
      <c r="A32" s="2" t="s">
        <v>47</v>
      </c>
      <c r="B32" s="7">
        <v>1.5</v>
      </c>
      <c r="C32" s="7">
        <v>1.5885</v>
      </c>
      <c r="D32">
        <f t="shared" si="0"/>
        <v>1.7671458676442586</v>
      </c>
      <c r="E32" s="10">
        <f t="shared" si="1"/>
        <v>10.050104139776218</v>
      </c>
      <c r="F32" s="8">
        <f t="shared" si="2"/>
        <v>495.3766988076976</v>
      </c>
      <c r="G32" s="9">
        <f t="shared" si="3"/>
        <v>116.72038483003699</v>
      </c>
      <c r="H32" s="10">
        <f t="shared" si="4"/>
        <v>1.1730520227766281</v>
      </c>
      <c r="I32" s="9">
        <f t="shared" si="5"/>
        <v>18754.4964527027</v>
      </c>
      <c r="J32" s="10">
        <f t="shared" si="6"/>
        <v>412.59892195945946</v>
      </c>
      <c r="K32" s="12">
        <f t="shared" si="7"/>
        <v>9290.540540540538</v>
      </c>
      <c r="L32" s="13">
        <f t="shared" si="8"/>
        <v>7.432432432432431</v>
      </c>
    </row>
    <row r="37" ht="15">
      <c r="D37" s="3"/>
    </row>
  </sheetData>
  <printOptions/>
  <pageMargins left="0.5" right="0.5" top="0.5" bottom="0.5" header="0.5" footer="0.5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